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bedok/"/>
    </mc:Choice>
  </mc:AlternateContent>
  <xr:revisionPtr revIDLastSave="0" documentId="13_ncr:1_{89BE85AA-568E-2147-A60E-A1690084B21F}" xr6:coauthVersionLast="45" xr6:coauthVersionMax="45" xr10:uidLastSave="{00000000-0000-0000-0000-000000000000}"/>
  <bookViews>
    <workbookView xWindow="80" yWindow="460" windowWidth="25440" windowHeight="15000" activeTab="1" xr2:uid="{F33EA3B1-348A-7742-87B7-32270874AE46}"/>
  </bookViews>
  <sheets>
    <sheet name="Optimal_sammensetning" sheetId="1" r:id="rId1"/>
    <sheet name="oppg5" sheetId="7" r:id="rId2"/>
    <sheet name="NNV" sheetId="2" r:id="rId3"/>
    <sheet name="Lån" sheetId="4" r:id="rId4"/>
    <sheet name="Oppg1" sheetId="5" r:id="rId5"/>
    <sheet name="Oppg2" sheetId="6" r:id="rId6"/>
  </sheets>
  <definedNames>
    <definedName name="solver_adj" localSheetId="3" hidden="1">Lån!$B$2</definedName>
    <definedName name="solver_adj" localSheetId="2" hidden="1">NNV!$E$2</definedName>
    <definedName name="solver_adj" localSheetId="0" hidden="1">Optimal_sammensetning!$B$9:$C$9</definedName>
    <definedName name="solver_cvg" localSheetId="3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2" hidden="1">1</definedName>
    <definedName name="solver_drv" localSheetId="0" hidden="1">1</definedName>
    <definedName name="solver_eng" localSheetId="3" hidden="1">1</definedName>
    <definedName name="solver_eng" localSheetId="2" hidden="1">1</definedName>
    <definedName name="solver_eng" localSheetId="0" hidden="1">1</definedName>
    <definedName name="solver_itr" localSheetId="3" hidden="1">2147483647</definedName>
    <definedName name="solver_itr" localSheetId="2" hidden="1">2147483647</definedName>
    <definedName name="solver_itr" localSheetId="0" hidden="1">2147483647</definedName>
    <definedName name="solver_lhs1" localSheetId="0" hidden="1">Optimal_sammensetning!$B$9</definedName>
    <definedName name="solver_lhs2" localSheetId="0" hidden="1">Optimal_sammensetning!$C$9</definedName>
    <definedName name="solver_lhs3" localSheetId="0" hidden="1">Optimal_sammensetning!$M$12</definedName>
    <definedName name="solver_lhs4" localSheetId="0" hidden="1">Optimal_sammensetning!$M$13</definedName>
    <definedName name="solver_lin" localSheetId="3" hidden="1">2</definedName>
    <definedName name="solver_lin" localSheetId="2" hidden="1">2</definedName>
    <definedName name="solver_lin" localSheetId="0" hidden="1">2</definedName>
    <definedName name="solver_mip" localSheetId="3" hidden="1">2147483647</definedName>
    <definedName name="solver_mip" localSheetId="2" hidden="1">2147483647</definedName>
    <definedName name="solver_mip" localSheetId="0" hidden="1">2147483647</definedName>
    <definedName name="solver_mni" localSheetId="3" hidden="1">30</definedName>
    <definedName name="solver_mni" localSheetId="2" hidden="1">30</definedName>
    <definedName name="solver_mni" localSheetId="0" hidden="1">30</definedName>
    <definedName name="solver_mrt" localSheetId="3" hidden="1">0.075</definedName>
    <definedName name="solver_mrt" localSheetId="2" hidden="1">0.075</definedName>
    <definedName name="solver_mrt" localSheetId="0" hidden="1">0.075</definedName>
    <definedName name="solver_msl" localSheetId="3" hidden="1">2</definedName>
    <definedName name="solver_msl" localSheetId="2" hidden="1">2</definedName>
    <definedName name="solver_msl" localSheetId="0" hidden="1">2</definedName>
    <definedName name="solver_neg" localSheetId="3" hidden="1">1</definedName>
    <definedName name="solver_neg" localSheetId="2" hidden="1">1</definedName>
    <definedName name="solver_neg" localSheetId="0" hidden="1">1</definedName>
    <definedName name="solver_nod" localSheetId="3" hidden="1">2147483647</definedName>
    <definedName name="solver_nod" localSheetId="2" hidden="1">2147483647</definedName>
    <definedName name="solver_nod" localSheetId="0" hidden="1">2147483647</definedName>
    <definedName name="solver_num" localSheetId="3" hidden="1">0</definedName>
    <definedName name="solver_num" localSheetId="2" hidden="1">0</definedName>
    <definedName name="solver_num" localSheetId="0" hidden="1">4</definedName>
    <definedName name="solver_opt" localSheetId="3" hidden="1">Lån!$C$4</definedName>
    <definedName name="solver_opt" localSheetId="2" hidden="1">NNV!$E$6</definedName>
    <definedName name="solver_opt" localSheetId="0" hidden="1">Optimal_sammensetning!$M$10</definedName>
    <definedName name="solver_pre" localSheetId="3" hidden="1">0.000001</definedName>
    <definedName name="solver_pre" localSheetId="2" hidden="1">0.000001</definedName>
    <definedName name="solver_pre" localSheetId="0" hidden="1">0.000001</definedName>
    <definedName name="solver_rbv" localSheetId="3" hidden="1">1</definedName>
    <definedName name="solver_rbv" localSheetId="2" hidden="1">1</definedName>
    <definedName name="solver_rbv" localSheetId="0" hidden="1">1</definedName>
    <definedName name="solver_rel1" localSheetId="0" hidden="1">4</definedName>
    <definedName name="solver_rel2" localSheetId="0" hidden="1">4</definedName>
    <definedName name="solver_rel3" localSheetId="0" hidden="1">1</definedName>
    <definedName name="solver_rel4" localSheetId="0" hidden="1">1</definedName>
    <definedName name="solver_rhs1" localSheetId="0" hidden="1">integer</definedName>
    <definedName name="solver_rhs2" localSheetId="0" hidden="1">integer</definedName>
    <definedName name="solver_rhs3" localSheetId="0" hidden="1">98</definedName>
    <definedName name="solver_rhs4" localSheetId="0" hidden="1">1400</definedName>
    <definedName name="solver_rlx" localSheetId="3" hidden="1">2</definedName>
    <definedName name="solver_rlx" localSheetId="2" hidden="1">2</definedName>
    <definedName name="solver_rlx" localSheetId="0" hidden="1">2</definedName>
    <definedName name="solver_rsd" localSheetId="3" hidden="1">0</definedName>
    <definedName name="solver_rsd" localSheetId="2" hidden="1">0</definedName>
    <definedName name="solver_rsd" localSheetId="0" hidden="1">0</definedName>
    <definedName name="solver_scl" localSheetId="3" hidden="1">1</definedName>
    <definedName name="solver_scl" localSheetId="2" hidden="1">1</definedName>
    <definedName name="solver_scl" localSheetId="0" hidden="1">1</definedName>
    <definedName name="solver_sho" localSheetId="3" hidden="1">2</definedName>
    <definedName name="solver_sho" localSheetId="2" hidden="1">2</definedName>
    <definedName name="solver_sho" localSheetId="0" hidden="1">2</definedName>
    <definedName name="solver_ssz" localSheetId="3" hidden="1">100</definedName>
    <definedName name="solver_ssz" localSheetId="2" hidden="1">100</definedName>
    <definedName name="solver_ssz" localSheetId="0" hidden="1">100</definedName>
    <definedName name="solver_tim" localSheetId="3" hidden="1">2147483647</definedName>
    <definedName name="solver_tim" localSheetId="2" hidden="1">2147483647</definedName>
    <definedName name="solver_tim" localSheetId="0" hidden="1">2147483647</definedName>
    <definedName name="solver_tol" localSheetId="3" hidden="1">0.01</definedName>
    <definedName name="solver_tol" localSheetId="2" hidden="1">0.01</definedName>
    <definedName name="solver_tol" localSheetId="0" hidden="1">0.01</definedName>
    <definedName name="solver_typ" localSheetId="3" hidden="1">3</definedName>
    <definedName name="solver_typ" localSheetId="2" hidden="1">3</definedName>
    <definedName name="solver_typ" localSheetId="0" hidden="1">1</definedName>
    <definedName name="solver_val" localSheetId="3" hidden="1">18478</definedName>
    <definedName name="solver_val" localSheetId="2" hidden="1">0</definedName>
    <definedName name="solver_val" localSheetId="0" hidden="1">0</definedName>
    <definedName name="solver_ver" localSheetId="3" hidden="1">2</definedName>
    <definedName name="solver_ver" localSheetId="2" hidden="1">2</definedName>
    <definedName name="solver_ver" localSheetId="0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7" l="1"/>
  <c r="E13" i="7" s="1"/>
  <c r="D12" i="7"/>
  <c r="D13" i="7"/>
  <c r="D14" i="7" s="1"/>
  <c r="C12" i="7"/>
  <c r="H23" i="6"/>
  <c r="B14" i="7"/>
  <c r="C13" i="7"/>
  <c r="B13" i="7"/>
  <c r="B12" i="7"/>
  <c r="M11" i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C22" i="6"/>
  <c r="C21" i="6"/>
  <c r="D21" i="6" s="1"/>
  <c r="C20" i="6"/>
  <c r="D20" i="6" s="1"/>
  <c r="C19" i="6"/>
  <c r="C16" i="6"/>
  <c r="D16" i="6" s="1"/>
  <c r="C15" i="6"/>
  <c r="D15" i="6" s="1"/>
  <c r="G24" i="6"/>
  <c r="D22" i="6"/>
  <c r="B24" i="6"/>
  <c r="D8" i="6"/>
  <c r="D9" i="6"/>
  <c r="D17" i="6"/>
  <c r="D18" i="6"/>
  <c r="C18" i="6"/>
  <c r="C17" i="6"/>
  <c r="D10" i="6"/>
  <c r="D11" i="6"/>
  <c r="C11" i="6"/>
  <c r="C10" i="6"/>
  <c r="D7" i="6"/>
  <c r="D3" i="6"/>
  <c r="C3" i="6"/>
  <c r="C7" i="6"/>
  <c r="E11" i="5"/>
  <c r="E4" i="5"/>
  <c r="E5" i="5" s="1"/>
  <c r="E6" i="5"/>
  <c r="E7" i="5"/>
  <c r="E8" i="5"/>
  <c r="E9" i="5"/>
  <c r="E10" i="5"/>
  <c r="E12" i="5"/>
  <c r="E13" i="5"/>
  <c r="E14" i="5"/>
  <c r="E15" i="5"/>
  <c r="E16" i="5"/>
  <c r="B4" i="5"/>
  <c r="B17" i="5"/>
  <c r="D15" i="5"/>
  <c r="C15" i="5"/>
  <c r="D13" i="5"/>
  <c r="C13" i="5"/>
  <c r="C9" i="5"/>
  <c r="D9" i="5"/>
  <c r="D8" i="5"/>
  <c r="C8" i="5"/>
  <c r="B2" i="5"/>
  <c r="B6" i="5"/>
  <c r="B3" i="5"/>
  <c r="C14" i="5" s="1"/>
  <c r="C5" i="5"/>
  <c r="D5" i="5"/>
  <c r="B5" i="4"/>
  <c r="B16" i="4"/>
  <c r="B20" i="4"/>
  <c r="B22" i="4" s="1"/>
  <c r="C21" i="4"/>
  <c r="D20" i="4" s="1"/>
  <c r="D22" i="4" s="1"/>
  <c r="D21" i="4"/>
  <c r="E20" i="4" s="1"/>
  <c r="E22" i="4" s="1"/>
  <c r="E21" i="4"/>
  <c r="F20" i="4" s="1"/>
  <c r="F22" i="4" s="1"/>
  <c r="F21" i="4"/>
  <c r="B21" i="4"/>
  <c r="C20" i="4" s="1"/>
  <c r="C22" i="4" s="1"/>
  <c r="C4" i="4"/>
  <c r="D6" i="2"/>
  <c r="C6" i="2"/>
  <c r="E5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B4" i="2"/>
  <c r="M17" i="1"/>
  <c r="M10" i="1"/>
  <c r="M12" i="1"/>
  <c r="M13" i="1"/>
  <c r="M14" i="1"/>
  <c r="M15" i="1"/>
  <c r="M16" i="1"/>
  <c r="M18" i="1"/>
  <c r="M19" i="1"/>
  <c r="M20" i="1"/>
  <c r="M21" i="1"/>
  <c r="M22" i="1"/>
  <c r="M23" i="1"/>
  <c r="M24" i="1"/>
  <c r="E14" i="7" l="1"/>
  <c r="C14" i="7"/>
  <c r="I24" i="6"/>
  <c r="H24" i="6"/>
  <c r="C24" i="6"/>
  <c r="D19" i="6"/>
  <c r="D24" i="6"/>
  <c r="E17" i="5"/>
  <c r="E18" i="5"/>
  <c r="B5" i="5"/>
  <c r="B18" i="5" s="1"/>
  <c r="D12" i="5"/>
  <c r="D10" i="5"/>
  <c r="D7" i="5"/>
  <c r="D14" i="5"/>
  <c r="D16" i="5"/>
  <c r="D11" i="5"/>
  <c r="C10" i="5"/>
  <c r="C12" i="5"/>
  <c r="C16" i="5"/>
  <c r="C7" i="5"/>
  <c r="C11" i="5"/>
  <c r="B17" i="4"/>
  <c r="B10" i="4"/>
  <c r="F6" i="2"/>
  <c r="H6" i="2"/>
  <c r="B6" i="2"/>
  <c r="E6" i="2"/>
  <c r="R6" i="2"/>
  <c r="P6" i="2"/>
  <c r="Q6" i="2"/>
  <c r="N6" i="2"/>
  <c r="M6" i="2"/>
  <c r="L6" i="2"/>
  <c r="S6" i="2"/>
  <c r="O6" i="2"/>
  <c r="K6" i="2"/>
  <c r="G6" i="2"/>
  <c r="J6" i="2"/>
  <c r="I6" i="2"/>
  <c r="D17" i="5" l="1"/>
  <c r="D18" i="5"/>
  <c r="C17" i="5"/>
  <c r="C18" i="5"/>
  <c r="C10" i="4"/>
  <c r="C9" i="4" s="1"/>
  <c r="C8" i="4" s="1"/>
  <c r="B9" i="4"/>
  <c r="B8" i="4" s="1"/>
  <c r="D10" i="4" l="1"/>
  <c r="D9" i="4" s="1"/>
  <c r="D8" i="4" s="1"/>
  <c r="E10" i="4" l="1"/>
  <c r="E9" i="4" s="1"/>
  <c r="E8" i="4" s="1"/>
  <c r="F10" i="4" l="1"/>
  <c r="F9" i="4" l="1"/>
  <c r="F8" i="4" s="1"/>
</calcChain>
</file>

<file path=xl/sharedStrings.xml><?xml version="1.0" encoding="utf-8"?>
<sst xmlns="http://schemas.openxmlformats.org/spreadsheetml/2006/main" count="128" uniqueCount="100">
  <si>
    <t>Produkt A</t>
  </si>
  <si>
    <t>Produkt B</t>
  </si>
  <si>
    <t>Antall</t>
  </si>
  <si>
    <t>Produkt C</t>
  </si>
  <si>
    <t>Produkt D</t>
  </si>
  <si>
    <t>Produkt E</t>
  </si>
  <si>
    <t>Råvare 1</t>
  </si>
  <si>
    <t>Råvare 2</t>
  </si>
  <si>
    <t>Råvare 3</t>
  </si>
  <si>
    <t>Råvare 4</t>
  </si>
  <si>
    <t>Råvare 5</t>
  </si>
  <si>
    <t>Råvare 6</t>
  </si>
  <si>
    <t>Råvare 7</t>
  </si>
  <si>
    <t>DB</t>
  </si>
  <si>
    <t>Sum</t>
  </si>
  <si>
    <t>Råvare 8</t>
  </si>
  <si>
    <t>Råvare 9</t>
  </si>
  <si>
    <t>Råvare 10</t>
  </si>
  <si>
    <t>Råvare 11</t>
  </si>
  <si>
    <t>Råvare 12</t>
  </si>
  <si>
    <t>Råvare 13</t>
  </si>
  <si>
    <t>Produkt F</t>
  </si>
  <si>
    <t>Produkt G</t>
  </si>
  <si>
    <t>Produkt H</t>
  </si>
  <si>
    <t>Produkt I</t>
  </si>
  <si>
    <t>Produkt J</t>
  </si>
  <si>
    <t>Produkt K</t>
  </si>
  <si>
    <t>Rente</t>
  </si>
  <si>
    <t>Kontantstrøm</t>
  </si>
  <si>
    <t>År</t>
  </si>
  <si>
    <t>NNV</t>
  </si>
  <si>
    <t>Faktor</t>
  </si>
  <si>
    <t>Lån</t>
  </si>
  <si>
    <t>rente</t>
  </si>
  <si>
    <t>Terminbeløp</t>
  </si>
  <si>
    <t>Avdrag</t>
  </si>
  <si>
    <t>Terminer</t>
  </si>
  <si>
    <t>Termin</t>
  </si>
  <si>
    <t>Gjenstående</t>
  </si>
  <si>
    <t>Sum betalt</t>
  </si>
  <si>
    <t>Total</t>
  </si>
  <si>
    <t xml:space="preserve">Dame </t>
  </si>
  <si>
    <t>Herre</t>
  </si>
  <si>
    <t>Omsetning</t>
  </si>
  <si>
    <t>Vareforbruk</t>
  </si>
  <si>
    <t>Bruttofortjeneste</t>
  </si>
  <si>
    <t>Lønn</t>
  </si>
  <si>
    <t>Emballasje</t>
  </si>
  <si>
    <t>Husleie</t>
  </si>
  <si>
    <t>Strøm</t>
  </si>
  <si>
    <t>Rep. og vedlikehold</t>
  </si>
  <si>
    <t>Reisekostnader</t>
  </si>
  <si>
    <t>Reklame</t>
  </si>
  <si>
    <t>Forsikringer</t>
  </si>
  <si>
    <t>Diverse kostnader</t>
  </si>
  <si>
    <t>Avskrivninger</t>
  </si>
  <si>
    <t>Rentekostnader</t>
  </si>
  <si>
    <t>Resultat</t>
  </si>
  <si>
    <t>Kvadratmeter</t>
  </si>
  <si>
    <t>Sum utgifter</t>
  </si>
  <si>
    <t>Hypotetisk herre</t>
  </si>
  <si>
    <t>Direkte materialforbruk</t>
  </si>
  <si>
    <t>Materialforvaltningskostnader</t>
  </si>
  <si>
    <t>Direkte lønn i avd. A</t>
  </si>
  <si>
    <t>Direkte lønn i avd. B</t>
  </si>
  <si>
    <t>Direkte lønn i avd. C</t>
  </si>
  <si>
    <t>Indirekte kostnader i avd. A</t>
  </si>
  <si>
    <t>Indirekte kostnader i avd. B</t>
  </si>
  <si>
    <t>Indirekte kostnader i avd. C</t>
  </si>
  <si>
    <t>Salgskostnader</t>
  </si>
  <si>
    <t>Administrasjonskostnader</t>
  </si>
  <si>
    <t>Kr * 1000</t>
  </si>
  <si>
    <t>Fordelingsgrunnlag</t>
  </si>
  <si>
    <t>Tilleggssats</t>
  </si>
  <si>
    <t>Direkte lønn avd. A</t>
  </si>
  <si>
    <t>Direkte lønn avd. C</t>
  </si>
  <si>
    <t>Direkte lønn avd. B</t>
  </si>
  <si>
    <t>Direkte arbeidstimer avd. B</t>
  </si>
  <si>
    <t>Direkte maskintimer avd. C</t>
  </si>
  <si>
    <t>Pris</t>
  </si>
  <si>
    <t>Selvkost</t>
  </si>
  <si>
    <t>Dir. kostnad</t>
  </si>
  <si>
    <t>kr per arbeidstime</t>
  </si>
  <si>
    <t>kr per maskintime</t>
  </si>
  <si>
    <t>salgskostnader</t>
  </si>
  <si>
    <t>Bestilling 1</t>
  </si>
  <si>
    <t>Bestilling 2</t>
  </si>
  <si>
    <t>Fortjeneste</t>
  </si>
  <si>
    <t>Ny maskin</t>
  </si>
  <si>
    <t>Årlige avskrivninger</t>
  </si>
  <si>
    <t>Opplæring ny maskin</t>
  </si>
  <si>
    <t>Datautgifter</t>
  </si>
  <si>
    <t>Utrangeringsverdi</t>
  </si>
  <si>
    <t>Gammel</t>
  </si>
  <si>
    <t>Ny</t>
  </si>
  <si>
    <t>Differansekontantstrøm</t>
  </si>
  <si>
    <t>Lønnskostnader</t>
  </si>
  <si>
    <t>Diskontingeringsrente</t>
  </si>
  <si>
    <t>Sum verdi</t>
  </si>
  <si>
    <t>Bruker "Solver" for å maksimere Dekningsbidrag (celle M6) med begrensninger på totalt forbruk (celle M8:M20) med Antall av hvert produkt (rad 5) som variable celler. Antall kan begrenses til å være heltall når det er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</si>
</sst>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3" fillId="0" borderId="1" xfId="0" applyFont="1" applyBorder="1"/>
    <xf numFmtId="1" fontId="0" fillId="0" borderId="0" xfId="0" applyNumberFormat="1"/>
    <xf numFmtId="2" fontId="0" fillId="0" borderId="0" xfId="0" applyNumberFormat="1"/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0" xfId="1" applyFont="1"/>
    <xf numFmtId="0" fontId="0" fillId="0" borderId="0" xfId="0" applyAlignment="1">
      <alignment horizontal="center" wrapText="1"/>
    </xf>
    <xf numFmtId="0" fontId="0" fillId="3" borderId="0" xfId="0" applyFill="1"/>
  </cellXfs>
  <cellStyles count="2">
    <cellStyle name="Normal" xfId="0" builtinId="0"/>
    <cellStyle name="Per 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B9C3D3-366E-0C42-9BC2-A08FF6DDE48E}" name="Table2" displayName="Table2" ref="A10:M24" headerRowCount="0" totalsRowShown="0">
  <tableColumns count="13">
    <tableColumn id="1" xr3:uid="{60ED623F-BAFE-CC4F-A1BB-0C2F4E2CCA27}" name="Column1"/>
    <tableColumn id="2" xr3:uid="{CF415E9F-9B52-4B4A-BC96-E9B80F34038F}" name="Column2"/>
    <tableColumn id="3" xr3:uid="{52D3503D-0C67-934D-B7C8-505808C0BB79}" name="Column3"/>
    <tableColumn id="4" xr3:uid="{773922BB-B23F-EA4D-858A-DCA0A305ECBA}" name="Column4"/>
    <tableColumn id="5" xr3:uid="{637951FD-C624-294E-A0BC-E28FD1D87B92}" name="Column5"/>
    <tableColumn id="6" xr3:uid="{6B33F0BE-B36D-624E-9D38-5F25FE302798}" name="Column6"/>
    <tableColumn id="7" xr3:uid="{BBDD039C-DC04-5941-87FE-353B587D804F}" name="Column7"/>
    <tableColumn id="8" xr3:uid="{A049E848-6219-2A4C-AA54-EABD46BF7C29}" name="Column8"/>
    <tableColumn id="9" xr3:uid="{E257171F-C7BD-494F-9D4A-522BA06E2630}" name="Column9"/>
    <tableColumn id="10" xr3:uid="{4C8CA14B-C334-704E-80F3-4DC4ACDDDA87}" name="Column10"/>
    <tableColumn id="11" xr3:uid="{5A65B21B-C580-5D4D-9EF8-121E57BF5567}" name="Column11"/>
    <tableColumn id="12" xr3:uid="{4B8B5E04-96ED-6741-9B89-51155AF62222}" name="Column12"/>
    <tableColumn id="13" xr3:uid="{8396E357-F640-3D49-B7E1-06589CB2E0BB}" name="Column13" dataDxfId="3">
      <calculatedColumnFormula>SUMPRODUCT(B$9:L$9,B10:L10)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25AF-FE0C-4E46-BADD-8A8D6B47CF8A}">
  <dimension ref="A1:M24"/>
  <sheetViews>
    <sheetView workbookViewId="0">
      <selection activeCell="A6" sqref="A6"/>
    </sheetView>
  </sheetViews>
  <sheetFormatPr baseColWidth="10" defaultRowHeight="16"/>
  <cols>
    <col min="10" max="13" width="11.6640625" customWidth="1"/>
  </cols>
  <sheetData>
    <row r="1" spans="1:13" ht="16" customHeight="1">
      <c r="A1" s="13" t="s">
        <v>99</v>
      </c>
      <c r="B1" s="13"/>
      <c r="C1" s="13"/>
      <c r="D1" s="13"/>
      <c r="E1" s="13"/>
      <c r="F1" s="13"/>
    </row>
    <row r="2" spans="1:13" ht="15" customHeight="1">
      <c r="A2" s="13"/>
      <c r="B2" s="13"/>
      <c r="C2" s="13"/>
      <c r="D2" s="13"/>
      <c r="E2" s="13"/>
      <c r="F2" s="13"/>
    </row>
    <row r="3" spans="1:13">
      <c r="A3" s="13"/>
      <c r="B3" s="13"/>
      <c r="C3" s="13"/>
      <c r="D3" s="13"/>
      <c r="E3" s="13"/>
      <c r="F3" s="13"/>
    </row>
    <row r="4" spans="1:13">
      <c r="A4" s="13"/>
      <c r="B4" s="13"/>
      <c r="C4" s="13"/>
      <c r="D4" s="13"/>
      <c r="E4" s="13"/>
      <c r="F4" s="13"/>
    </row>
    <row r="5" spans="1:13">
      <c r="A5" s="13"/>
      <c r="B5" s="13"/>
      <c r="C5" s="13"/>
      <c r="D5" s="13"/>
      <c r="E5" s="13"/>
      <c r="F5" s="13"/>
    </row>
    <row r="8" spans="1:13">
      <c r="B8" t="s">
        <v>0</v>
      </c>
      <c r="C8" t="s">
        <v>1</v>
      </c>
      <c r="D8" t="s">
        <v>3</v>
      </c>
      <c r="E8" t="s">
        <v>4</v>
      </c>
      <c r="F8" t="s">
        <v>5</v>
      </c>
      <c r="G8" t="s">
        <v>21</v>
      </c>
      <c r="H8" t="s">
        <v>22</v>
      </c>
      <c r="I8" t="s">
        <v>23</v>
      </c>
      <c r="J8" t="s">
        <v>24</v>
      </c>
      <c r="K8" t="s">
        <v>25</v>
      </c>
      <c r="L8" t="s">
        <v>26</v>
      </c>
      <c r="M8" s="2" t="s">
        <v>14</v>
      </c>
    </row>
    <row r="9" spans="1:13">
      <c r="A9" t="s">
        <v>2</v>
      </c>
      <c r="B9">
        <v>14</v>
      </c>
      <c r="C9">
        <v>8</v>
      </c>
      <c r="D9">
        <v>10</v>
      </c>
      <c r="M9" s="4"/>
    </row>
    <row r="10" spans="1:13">
      <c r="A10" s="1" t="s">
        <v>13</v>
      </c>
      <c r="B10" s="1">
        <v>76</v>
      </c>
      <c r="C10" s="1">
        <v>180</v>
      </c>
      <c r="D10" s="1">
        <v>240</v>
      </c>
      <c r="E10" s="1"/>
      <c r="F10" s="1"/>
      <c r="G10" s="1"/>
      <c r="H10" s="1"/>
      <c r="I10" s="1"/>
      <c r="J10" s="1"/>
      <c r="K10" s="1"/>
      <c r="L10" s="1"/>
      <c r="M10" s="3">
        <f>SUMPRODUCT(B$9:L$9,B10:L10)</f>
        <v>4904</v>
      </c>
    </row>
    <row r="11" spans="1:13">
      <c r="A11" t="s">
        <v>87</v>
      </c>
      <c r="B11">
        <v>10</v>
      </c>
      <c r="C11">
        <v>110</v>
      </c>
      <c r="D11">
        <v>170</v>
      </c>
      <c r="M11" s="2">
        <f>SUMPRODUCT(B$9:L$9,B11:L11)</f>
        <v>2720</v>
      </c>
    </row>
    <row r="12" spans="1:13">
      <c r="A12" t="s">
        <v>6</v>
      </c>
      <c r="B12">
        <v>1</v>
      </c>
      <c r="C12">
        <v>3</v>
      </c>
      <c r="D12">
        <v>6</v>
      </c>
      <c r="M12" s="2">
        <f>SUMPRODUCT(B$9:L$9,B12:L12)</f>
        <v>98</v>
      </c>
    </row>
    <row r="13" spans="1:13">
      <c r="A13" t="s">
        <v>7</v>
      </c>
      <c r="B13">
        <v>20</v>
      </c>
      <c r="C13">
        <v>40</v>
      </c>
      <c r="D13">
        <v>80</v>
      </c>
      <c r="M13" s="2">
        <f>SUMPRODUCT(B$9:L$9,B13:L13)</f>
        <v>1400</v>
      </c>
    </row>
    <row r="14" spans="1:13">
      <c r="A14" t="s">
        <v>8</v>
      </c>
      <c r="B14">
        <v>2</v>
      </c>
      <c r="C14">
        <v>4</v>
      </c>
      <c r="D14">
        <v>6</v>
      </c>
      <c r="M14" s="2">
        <f>SUMPRODUCT(B$9:L$9,B14:L14)</f>
        <v>120</v>
      </c>
    </row>
    <row r="15" spans="1:13">
      <c r="A15" t="s">
        <v>9</v>
      </c>
      <c r="M15" s="2">
        <f>SUMPRODUCT(B$9:L$9,B15:L15)</f>
        <v>0</v>
      </c>
    </row>
    <row r="16" spans="1:13">
      <c r="A16" t="s">
        <v>10</v>
      </c>
      <c r="M16" s="2">
        <f>SUMPRODUCT(B$9:L$9,B16:L16)</f>
        <v>0</v>
      </c>
    </row>
    <row r="17" spans="1:13">
      <c r="A17" t="s">
        <v>11</v>
      </c>
      <c r="M17" s="2">
        <f>SUMPRODUCT(B$9:L$9,B17:L17)</f>
        <v>0</v>
      </c>
    </row>
    <row r="18" spans="1:13">
      <c r="A18" t="s">
        <v>12</v>
      </c>
      <c r="M18" s="2">
        <f>SUMPRODUCT(B$9:L$9,B18:L18)</f>
        <v>0</v>
      </c>
    </row>
    <row r="19" spans="1:13">
      <c r="A19" t="s">
        <v>15</v>
      </c>
      <c r="M19" s="2">
        <f>SUMPRODUCT(B$9:L$9,B19:L19)</f>
        <v>0</v>
      </c>
    </row>
    <row r="20" spans="1:13">
      <c r="A20" t="s">
        <v>16</v>
      </c>
      <c r="M20" s="2">
        <f>SUMPRODUCT(B$9:L$9,B20:L20)</f>
        <v>0</v>
      </c>
    </row>
    <row r="21" spans="1:13">
      <c r="A21" t="s">
        <v>17</v>
      </c>
      <c r="M21" s="2">
        <f>SUMPRODUCT(B$9:L$9,B21:L21)</f>
        <v>0</v>
      </c>
    </row>
    <row r="22" spans="1:13">
      <c r="A22" t="s">
        <v>18</v>
      </c>
      <c r="M22" s="2">
        <f>SUMPRODUCT(B$9:L$9,B22:L22)</f>
        <v>0</v>
      </c>
    </row>
    <row r="23" spans="1:13">
      <c r="A23" t="s">
        <v>19</v>
      </c>
      <c r="M23" s="2">
        <f>SUMPRODUCT(B$9:L$9,B23:L23)</f>
        <v>0</v>
      </c>
    </row>
    <row r="24" spans="1:13">
      <c r="A24" t="s">
        <v>20</v>
      </c>
      <c r="M24" s="2">
        <f>SUMPRODUCT(B$9:L$9,B24:L24)</f>
        <v>0</v>
      </c>
    </row>
  </sheetData>
  <mergeCells count="1">
    <mergeCell ref="A1:F5"/>
  </mergeCells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E5FE-A608-CC4A-BC71-535D1FB76F69}">
  <dimension ref="A1:E14"/>
  <sheetViews>
    <sheetView tabSelected="1" workbookViewId="0">
      <selection activeCell="E13" sqref="E13"/>
    </sheetView>
  </sheetViews>
  <sheetFormatPr baseColWidth="10" defaultRowHeight="16"/>
  <cols>
    <col min="1" max="1" width="21.6640625" customWidth="1"/>
  </cols>
  <sheetData>
    <row r="1" spans="1:5">
      <c r="B1" t="s">
        <v>93</v>
      </c>
      <c r="C1" t="s">
        <v>94</v>
      </c>
    </row>
    <row r="2" spans="1:5">
      <c r="A2" t="s">
        <v>88</v>
      </c>
      <c r="C2">
        <v>1600</v>
      </c>
    </row>
    <row r="3" spans="1:5">
      <c r="A3" t="s">
        <v>50</v>
      </c>
      <c r="B3">
        <v>950</v>
      </c>
      <c r="C3">
        <v>200</v>
      </c>
    </row>
    <row r="4" spans="1:5">
      <c r="A4" t="s">
        <v>96</v>
      </c>
      <c r="B4">
        <v>2500</v>
      </c>
      <c r="C4">
        <v>2250</v>
      </c>
    </row>
    <row r="5" spans="1:5">
      <c r="A5" t="s">
        <v>89</v>
      </c>
      <c r="B5">
        <v>400</v>
      </c>
      <c r="C5">
        <v>500</v>
      </c>
    </row>
    <row r="6" spans="1:5">
      <c r="A6" t="s">
        <v>90</v>
      </c>
      <c r="C6">
        <v>150</v>
      </c>
    </row>
    <row r="7" spans="1:5">
      <c r="A7" t="s">
        <v>91</v>
      </c>
      <c r="C7">
        <v>125</v>
      </c>
    </row>
    <row r="8" spans="1:5">
      <c r="A8" t="s">
        <v>92</v>
      </c>
      <c r="C8">
        <v>100</v>
      </c>
    </row>
    <row r="10" spans="1:5">
      <c r="A10" t="s">
        <v>97</v>
      </c>
      <c r="B10">
        <v>0.12</v>
      </c>
    </row>
    <row r="11" spans="1:5">
      <c r="A11" t="s">
        <v>29</v>
      </c>
      <c r="B11">
        <v>0</v>
      </c>
      <c r="C11">
        <v>1</v>
      </c>
      <c r="D11">
        <v>2</v>
      </c>
      <c r="E11">
        <v>3</v>
      </c>
    </row>
    <row r="12" spans="1:5">
      <c r="A12" t="s">
        <v>95</v>
      </c>
      <c r="B12">
        <f>-C2-C6</f>
        <v>-1750</v>
      </c>
      <c r="C12">
        <f>SUM(B3:B4) - SUM(C3:C4,C7)</f>
        <v>875</v>
      </c>
      <c r="D12">
        <f>SUM(B3:B4) - SUM(C3:C4,C7)</f>
        <v>875</v>
      </c>
      <c r="E12">
        <f>SUM(B3:B4) - SUM(C3:C4,C7) + C8</f>
        <v>975</v>
      </c>
    </row>
    <row r="13" spans="1:5">
      <c r="A13" t="s">
        <v>30</v>
      </c>
      <c r="B13">
        <f>B12</f>
        <v>-1750</v>
      </c>
      <c r="C13">
        <f>C12/((1+$B$10)^C11)</f>
        <v>781.24999999999989</v>
      </c>
      <c r="D13">
        <f t="shared" ref="D13:E13" si="0">D12/((1+$B$10)^D11)</f>
        <v>697.54464285714278</v>
      </c>
      <c r="E13">
        <f t="shared" si="0"/>
        <v>693.98574161807562</v>
      </c>
    </row>
    <row r="14" spans="1:5">
      <c r="A14" t="s">
        <v>98</v>
      </c>
      <c r="B14">
        <f>SUM($B13:B13)</f>
        <v>-1750</v>
      </c>
      <c r="C14">
        <f>SUM($B13:C13)</f>
        <v>-968.75000000000011</v>
      </c>
      <c r="D14">
        <f>SUM($B13:D13)</f>
        <v>-271.20535714285734</v>
      </c>
      <c r="E14" s="14">
        <f>SUM($B13:E13)</f>
        <v>422.78038447521828</v>
      </c>
    </row>
  </sheetData>
  <conditionalFormatting sqref="E14">
    <cfRule type="cellIs" dxfId="2" priority="3" operator="greaterThan">
      <formula>0</formula>
    </cfRule>
  </conditionalFormatting>
  <conditionalFormatting sqref="B14:E14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B404-9838-ED45-AD31-2DDBA9247414}">
  <dimension ref="A1:S6"/>
  <sheetViews>
    <sheetView zoomScaleNormal="100" workbookViewId="0">
      <selection activeCell="E9" sqref="E9"/>
    </sheetView>
  </sheetViews>
  <sheetFormatPr baseColWidth="10" defaultRowHeight="16"/>
  <sheetData>
    <row r="1" spans="1:19">
      <c r="A1" t="s">
        <v>27</v>
      </c>
      <c r="B1">
        <v>0.1</v>
      </c>
    </row>
    <row r="2" spans="1:19">
      <c r="E2">
        <v>17.250000000000153</v>
      </c>
    </row>
    <row r="3" spans="1:19">
      <c r="A3" t="s">
        <v>29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</row>
    <row r="4" spans="1:19">
      <c r="A4" t="s">
        <v>31</v>
      </c>
      <c r="B4">
        <f>1/(1+$B$1)^B3</f>
        <v>1</v>
      </c>
      <c r="C4">
        <f>1/(1+$B$1)^C3</f>
        <v>0.90909090909090906</v>
      </c>
      <c r="D4">
        <f>1/(1+$B$1)^D3</f>
        <v>0.82644628099173545</v>
      </c>
      <c r="E4">
        <f>1/(1+$B$1)^E3</f>
        <v>0.75131480090157754</v>
      </c>
      <c r="F4">
        <f>1/(1+$B$1)^F3</f>
        <v>0.68301345536507052</v>
      </c>
      <c r="G4">
        <f>1/(1+$B$1)^G3</f>
        <v>0.62092132305915493</v>
      </c>
      <c r="H4">
        <f>1/(1+$B$1)^H3</f>
        <v>0.56447393005377722</v>
      </c>
      <c r="I4">
        <f>1/(1+$B$1)^I3</f>
        <v>0.51315811823070645</v>
      </c>
      <c r="J4">
        <f>1/(1+$B$1)^J3</f>
        <v>0.46650738020973315</v>
      </c>
      <c r="K4">
        <f>1/(1+$B$1)^K3</f>
        <v>0.42409761837248466</v>
      </c>
      <c r="L4">
        <f>1/(1+$B$1)^L3</f>
        <v>0.38554328942953148</v>
      </c>
      <c r="M4">
        <f>1/(1+$B$1)^M3</f>
        <v>0.3504938994813922</v>
      </c>
      <c r="N4">
        <f>1/(1+$B$1)^N3</f>
        <v>0.31863081771035656</v>
      </c>
      <c r="O4">
        <f>1/(1+$B$1)^O3</f>
        <v>0.28966437973668779</v>
      </c>
      <c r="P4">
        <f>1/(1+$B$1)^P3</f>
        <v>0.26333125430607973</v>
      </c>
      <c r="Q4">
        <f>1/(1+$B$1)^Q3</f>
        <v>0.23939204936916339</v>
      </c>
      <c r="R4">
        <f>1/(1+$B$1)^R3</f>
        <v>0.21762913579014853</v>
      </c>
      <c r="S4">
        <f>1/(1+$B$1)^S3</f>
        <v>0.19784466890013502</v>
      </c>
    </row>
    <row r="5" spans="1:19">
      <c r="A5" t="s">
        <v>28</v>
      </c>
      <c r="B5">
        <v>-100</v>
      </c>
      <c r="C5">
        <v>35</v>
      </c>
      <c r="D5">
        <v>35</v>
      </c>
      <c r="E5">
        <f>35+E2</f>
        <v>52.250000000000156</v>
      </c>
      <c r="F5">
        <v>35</v>
      </c>
      <c r="G5">
        <v>35</v>
      </c>
      <c r="H5">
        <v>35</v>
      </c>
      <c r="I5">
        <v>35</v>
      </c>
      <c r="J5">
        <v>35</v>
      </c>
      <c r="K5">
        <v>35</v>
      </c>
      <c r="L5">
        <v>35</v>
      </c>
      <c r="M5">
        <v>35</v>
      </c>
      <c r="N5">
        <v>35</v>
      </c>
      <c r="O5">
        <v>35</v>
      </c>
      <c r="P5">
        <v>35</v>
      </c>
      <c r="Q5">
        <v>35</v>
      </c>
      <c r="R5">
        <v>35</v>
      </c>
      <c r="S5">
        <v>35</v>
      </c>
    </row>
    <row r="6" spans="1:19">
      <c r="A6" t="s">
        <v>30</v>
      </c>
      <c r="B6">
        <f>SUMPRODUCT($B$5:B5,$B$4:B4)</f>
        <v>-100</v>
      </c>
      <c r="C6">
        <f>SUMPRODUCT($B$5:C5,$B$4:C4)</f>
        <v>-68.181818181818187</v>
      </c>
      <c r="D6">
        <f>SUMPRODUCT($B$5:D5,$B$4:D4)</f>
        <v>-39.256198347107443</v>
      </c>
      <c r="E6">
        <f>SUMPRODUCT($B$5:E5,$B$4:E4)</f>
        <v>9.9475983006414026E-14</v>
      </c>
      <c r="F6">
        <f>SUMPRODUCT($B$5:F5,$B$4:F4)</f>
        <v>23.905470937777569</v>
      </c>
      <c r="G6">
        <f>SUMPRODUCT($B$5:G5,$B$4:G4)</f>
        <v>45.637717244847991</v>
      </c>
      <c r="H6">
        <f>SUMPRODUCT($B$5:H5,$B$4:H4)</f>
        <v>65.394304796730196</v>
      </c>
      <c r="I6">
        <f>SUMPRODUCT($B$5:I5,$B$4:I4)</f>
        <v>83.354838934804917</v>
      </c>
      <c r="J6">
        <f>SUMPRODUCT($B$5:J5,$B$4:J4)</f>
        <v>99.682597242145576</v>
      </c>
      <c r="K6">
        <f>SUMPRODUCT($B$5:K5,$B$4:K4)</f>
        <v>114.52601388518254</v>
      </c>
      <c r="L6">
        <f>SUMPRODUCT($B$5:L5,$B$4:L4)</f>
        <v>128.02002901521612</v>
      </c>
      <c r="M6">
        <f>SUMPRODUCT($B$5:M5,$B$4:M4)</f>
        <v>140.28731549706484</v>
      </c>
      <c r="N6">
        <f>SUMPRODUCT($B$5:N5,$B$4:N4)</f>
        <v>151.4393941169273</v>
      </c>
      <c r="O6">
        <f>SUMPRODUCT($B$5:O5,$B$4:O4)</f>
        <v>161.57764740771137</v>
      </c>
      <c r="P6">
        <f>SUMPRODUCT($B$5:P5,$B$4:P4)</f>
        <v>170.79424130842415</v>
      </c>
      <c r="Q6">
        <f>SUMPRODUCT($B$5:Q5,$B$4:Q4)</f>
        <v>179.17296303634487</v>
      </c>
      <c r="R6">
        <f>SUMPRODUCT($B$5:R5,$B$4:R4)</f>
        <v>186.78998278900008</v>
      </c>
      <c r="S6">
        <f>SUMPRODUCT($B$5:S5,$B$4:S4)</f>
        <v>193.7145462005048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7704-5D25-5247-AB07-3F8502BA86D6}">
  <dimension ref="A1:O22"/>
  <sheetViews>
    <sheetView workbookViewId="0">
      <selection activeCell="B1" sqref="B1"/>
    </sheetView>
  </sheetViews>
  <sheetFormatPr baseColWidth="10" defaultRowHeight="16"/>
  <cols>
    <col min="1" max="1" width="12.1640625" customWidth="1"/>
    <col min="2" max="2" width="11.6640625" bestFit="1" customWidth="1"/>
  </cols>
  <sheetData>
    <row r="1" spans="1:15">
      <c r="A1" t="s">
        <v>32</v>
      </c>
      <c r="B1">
        <v>80000</v>
      </c>
    </row>
    <row r="2" spans="1:15">
      <c r="A2" t="s">
        <v>33</v>
      </c>
      <c r="B2" s="6">
        <v>0.08</v>
      </c>
    </row>
    <row r="3" spans="1:15">
      <c r="A3" t="s">
        <v>36</v>
      </c>
      <c r="B3">
        <v>5</v>
      </c>
      <c r="E3" s="6"/>
      <c r="H3" s="6"/>
    </row>
    <row r="4" spans="1:15">
      <c r="A4" t="s">
        <v>34</v>
      </c>
      <c r="B4" s="5">
        <v>20037</v>
      </c>
      <c r="C4" s="5">
        <f>B2/(1 - (1 + B2)^(-B3)) * B1</f>
        <v>20036.516365346921</v>
      </c>
      <c r="E4" s="5"/>
      <c r="H4" s="5"/>
    </row>
    <row r="5" spans="1:15">
      <c r="A5" t="s">
        <v>39</v>
      </c>
      <c r="B5">
        <f>B4*B3</f>
        <v>100185</v>
      </c>
    </row>
    <row r="7" spans="1:15">
      <c r="A7" t="s">
        <v>37</v>
      </c>
      <c r="B7">
        <v>1</v>
      </c>
      <c r="C7">
        <v>2</v>
      </c>
      <c r="D7">
        <v>3</v>
      </c>
      <c r="E7">
        <v>4</v>
      </c>
      <c r="F7">
        <v>5</v>
      </c>
      <c r="G7">
        <v>6</v>
      </c>
      <c r="H7">
        <v>7</v>
      </c>
      <c r="I7">
        <v>8</v>
      </c>
      <c r="J7">
        <v>9</v>
      </c>
      <c r="K7">
        <v>10</v>
      </c>
      <c r="L7">
        <v>11</v>
      </c>
      <c r="M7">
        <v>12</v>
      </c>
      <c r="N7">
        <v>13</v>
      </c>
      <c r="O7">
        <v>14</v>
      </c>
    </row>
    <row r="8" spans="1:15">
      <c r="A8" t="s">
        <v>27</v>
      </c>
      <c r="B8" s="5">
        <f>$B4-B9</f>
        <v>6400</v>
      </c>
      <c r="C8" s="5">
        <f>$B4-C9</f>
        <v>5309.0400000000081</v>
      </c>
      <c r="D8" s="5">
        <f>$B4-D9</f>
        <v>4130.8032000000021</v>
      </c>
      <c r="E8" s="5">
        <f>$B4-E9</f>
        <v>2858.3074560000023</v>
      </c>
      <c r="F8" s="5">
        <f>$B4-F9</f>
        <v>1484.0120524800041</v>
      </c>
      <c r="G8" s="5"/>
    </row>
    <row r="9" spans="1:15">
      <c r="A9" t="s">
        <v>35</v>
      </c>
      <c r="B9" s="5">
        <f>B1-B10</f>
        <v>13637</v>
      </c>
      <c r="C9" s="5">
        <f>B10-C10</f>
        <v>14727.959999999992</v>
      </c>
      <c r="D9" s="5">
        <f t="shared" ref="D9:G9" si="0">C10-D10</f>
        <v>15906.196799999998</v>
      </c>
      <c r="E9" s="5">
        <f t="shared" si="0"/>
        <v>17178.692543999998</v>
      </c>
      <c r="F9" s="5">
        <f t="shared" si="0"/>
        <v>18552.987947519996</v>
      </c>
      <c r="G9" s="5"/>
    </row>
    <row r="10" spans="1:15">
      <c r="A10" t="s">
        <v>38</v>
      </c>
      <c r="B10" s="5">
        <f>B1*(1+B2) - B4</f>
        <v>66363</v>
      </c>
      <c r="C10" s="5">
        <f>B10*(1+$B2) -$B4</f>
        <v>51635.040000000008</v>
      </c>
      <c r="D10" s="5">
        <f>C10*(1+$B2) -$B4</f>
        <v>35728.84320000001</v>
      </c>
      <c r="E10" s="5">
        <f>D10*(1+$B2) -$B4</f>
        <v>18550.150656000013</v>
      </c>
      <c r="F10" s="5">
        <f>E10*(1+$B2) -$B4</f>
        <v>-2.8372915199834097</v>
      </c>
      <c r="G10" s="5"/>
    </row>
    <row r="13" spans="1:15">
      <c r="A13" t="s">
        <v>32</v>
      </c>
      <c r="B13">
        <v>80000</v>
      </c>
    </row>
    <row r="14" spans="1:15">
      <c r="A14" t="s">
        <v>33</v>
      </c>
      <c r="B14" s="6">
        <v>0.08</v>
      </c>
      <c r="E14" s="6"/>
      <c r="H14" s="6"/>
    </row>
    <row r="15" spans="1:15">
      <c r="A15" t="s">
        <v>35</v>
      </c>
      <c r="B15">
        <v>16000</v>
      </c>
      <c r="C15" s="5"/>
      <c r="E15" s="5"/>
      <c r="H15" s="5"/>
    </row>
    <row r="16" spans="1:15">
      <c r="A16" t="s">
        <v>36</v>
      </c>
      <c r="B16">
        <f>B13/B15</f>
        <v>5</v>
      </c>
    </row>
    <row r="17" spans="1:15">
      <c r="A17" t="s">
        <v>39</v>
      </c>
      <c r="B17" s="5">
        <f>SUM(B22:O22)</f>
        <v>99200</v>
      </c>
    </row>
    <row r="19" spans="1:15">
      <c r="A19" t="s">
        <v>37</v>
      </c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J19">
        <v>9</v>
      </c>
      <c r="K19">
        <v>10</v>
      </c>
      <c r="L19">
        <v>11</v>
      </c>
      <c r="M19">
        <v>12</v>
      </c>
      <c r="N19">
        <v>13</v>
      </c>
      <c r="O19">
        <v>14</v>
      </c>
    </row>
    <row r="20" spans="1:15">
      <c r="A20" t="s">
        <v>27</v>
      </c>
      <c r="B20" s="5">
        <f>B13*B14</f>
        <v>6400</v>
      </c>
      <c r="C20" s="5">
        <f>B21*$B14</f>
        <v>5120</v>
      </c>
      <c r="D20" s="5">
        <f>C21*$B14</f>
        <v>3840</v>
      </c>
      <c r="E20" s="5">
        <f>D21*$B14</f>
        <v>2560</v>
      </c>
      <c r="F20" s="5">
        <f>E21*$B14</f>
        <v>1280</v>
      </c>
      <c r="G20" s="5"/>
      <c r="H20" s="5"/>
      <c r="I20" s="5"/>
    </row>
    <row r="21" spans="1:15">
      <c r="A21" t="s">
        <v>38</v>
      </c>
      <c r="B21" s="5">
        <f>$B13-B19*$B15</f>
        <v>64000</v>
      </c>
      <c r="C21" s="5">
        <f>$B13-C19*$B15</f>
        <v>48000</v>
      </c>
      <c r="D21" s="5">
        <f>$B13-D19*$B15</f>
        <v>32000</v>
      </c>
      <c r="E21" s="5">
        <f>$B13-E19*$B15</f>
        <v>16000</v>
      </c>
      <c r="F21" s="5">
        <f>$B13-F19*$B15</f>
        <v>0</v>
      </c>
      <c r="G21" s="5"/>
      <c r="H21" s="5"/>
      <c r="I21" s="5"/>
    </row>
    <row r="22" spans="1:15">
      <c r="A22" t="s">
        <v>34</v>
      </c>
      <c r="B22" s="5">
        <f>B20+$B15</f>
        <v>22400</v>
      </c>
      <c r="C22" s="5">
        <f>C20+$B15</f>
        <v>21120</v>
      </c>
      <c r="D22" s="5">
        <f>D20+$B15</f>
        <v>19840</v>
      </c>
      <c r="E22" s="5">
        <f>E20+$B15</f>
        <v>18560</v>
      </c>
      <c r="F22" s="5">
        <f>F20+$B15</f>
        <v>17280</v>
      </c>
      <c r="G22" s="5"/>
      <c r="H22" s="5"/>
      <c r="I2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80F8-AAD2-814B-AA2E-71B6E5E5FE2F}">
  <dimension ref="A1:E18"/>
  <sheetViews>
    <sheetView workbookViewId="0">
      <selection activeCell="G12" sqref="G12"/>
    </sheetView>
  </sheetViews>
  <sheetFormatPr baseColWidth="10" defaultRowHeight="16"/>
  <cols>
    <col min="1" max="1" width="19" customWidth="1"/>
  </cols>
  <sheetData>
    <row r="1" spans="1:5">
      <c r="B1" t="s">
        <v>40</v>
      </c>
      <c r="C1" t="s">
        <v>41</v>
      </c>
      <c r="D1" t="s">
        <v>42</v>
      </c>
      <c r="E1" s="2" t="s">
        <v>60</v>
      </c>
    </row>
    <row r="2" spans="1:5">
      <c r="A2" t="s">
        <v>58</v>
      </c>
      <c r="B2">
        <f>C2+D2</f>
        <v>500</v>
      </c>
      <c r="C2">
        <v>300</v>
      </c>
      <c r="D2">
        <v>200</v>
      </c>
      <c r="E2" s="2">
        <v>200</v>
      </c>
    </row>
    <row r="3" spans="1:5">
      <c r="A3" t="s">
        <v>43</v>
      </c>
      <c r="B3">
        <f>C3+D3</f>
        <v>20000</v>
      </c>
      <c r="C3">
        <v>12500</v>
      </c>
      <c r="D3">
        <v>7500</v>
      </c>
      <c r="E3" s="2">
        <v>7500</v>
      </c>
    </row>
    <row r="4" spans="1:5" ht="17" thickBot="1">
      <c r="A4" s="7" t="s">
        <v>44</v>
      </c>
      <c r="B4" s="7">
        <f t="shared" ref="B4:B6" si="0">C4+D4</f>
        <v>11800</v>
      </c>
      <c r="C4" s="7">
        <v>7250</v>
      </c>
      <c r="D4" s="7">
        <v>4550</v>
      </c>
      <c r="E4" s="10">
        <f>D4*E3/D3</f>
        <v>4550</v>
      </c>
    </row>
    <row r="5" spans="1:5" ht="17" thickBot="1">
      <c r="A5" s="7" t="s">
        <v>45</v>
      </c>
      <c r="B5" s="7">
        <f t="shared" si="0"/>
        <v>8200</v>
      </c>
      <c r="C5" s="7">
        <f>C3-C4</f>
        <v>5250</v>
      </c>
      <c r="D5" s="7">
        <f>D3-D4</f>
        <v>2950</v>
      </c>
      <c r="E5" s="10">
        <f>E3-E4</f>
        <v>2950</v>
      </c>
    </row>
    <row r="6" spans="1:5">
      <c r="A6" t="s">
        <v>46</v>
      </c>
      <c r="B6">
        <f t="shared" si="0"/>
        <v>3675</v>
      </c>
      <c r="C6">
        <v>2200</v>
      </c>
      <c r="D6">
        <v>1475</v>
      </c>
      <c r="E6" s="2">
        <f>D6*E3/D3</f>
        <v>1475</v>
      </c>
    </row>
    <row r="7" spans="1:5">
      <c r="A7" t="s">
        <v>47</v>
      </c>
      <c r="B7">
        <v>160</v>
      </c>
      <c r="C7">
        <f>$B7*C$3/$B$3</f>
        <v>100</v>
      </c>
      <c r="D7">
        <f>$B7*D$3/$B$3</f>
        <v>60</v>
      </c>
      <c r="E7" s="2">
        <f>$B7*E$3/$B$3</f>
        <v>60</v>
      </c>
    </row>
    <row r="8" spans="1:5">
      <c r="A8" t="s">
        <v>48</v>
      </c>
      <c r="B8">
        <v>1500</v>
      </c>
      <c r="C8">
        <f>$B8*C$2/$B$2</f>
        <v>900</v>
      </c>
      <c r="D8">
        <f>$B8*D$2/$B$2</f>
        <v>600</v>
      </c>
      <c r="E8" s="2">
        <f>$B8*E$2/$B$2</f>
        <v>600</v>
      </c>
    </row>
    <row r="9" spans="1:5">
      <c r="A9" t="s">
        <v>49</v>
      </c>
      <c r="B9">
        <v>75</v>
      </c>
      <c r="C9">
        <f>$B9*C$2/$B$2</f>
        <v>45</v>
      </c>
      <c r="D9">
        <f>$B9*D$2/$B$2</f>
        <v>30</v>
      </c>
      <c r="E9" s="2">
        <f>$B9*E$2/$B$2</f>
        <v>30</v>
      </c>
    </row>
    <row r="10" spans="1:5">
      <c r="A10" t="s">
        <v>50</v>
      </c>
      <c r="B10">
        <v>360</v>
      </c>
      <c r="C10">
        <f>$B10*C$3/$B$3</f>
        <v>225</v>
      </c>
      <c r="D10">
        <f>$B10*D$3/$B$3</f>
        <v>135</v>
      </c>
      <c r="E10" s="2">
        <f>$B10*E$3/$B$3</f>
        <v>135</v>
      </c>
    </row>
    <row r="11" spans="1:5">
      <c r="A11" t="s">
        <v>51</v>
      </c>
      <c r="B11">
        <v>500</v>
      </c>
      <c r="C11">
        <f>$B11*C$3/$B$3</f>
        <v>312.5</v>
      </c>
      <c r="D11">
        <f>$B11*D$3/$B$3</f>
        <v>187.5</v>
      </c>
      <c r="E11" s="2">
        <f>B11*E6/B6</f>
        <v>200.68027210884352</v>
      </c>
    </row>
    <row r="12" spans="1:5">
      <c r="A12" t="s">
        <v>52</v>
      </c>
      <c r="B12">
        <v>560</v>
      </c>
      <c r="C12">
        <f>$B12*C$3/$B$3</f>
        <v>350</v>
      </c>
      <c r="D12">
        <f>$B12*D$3/$B$3</f>
        <v>210</v>
      </c>
      <c r="E12" s="2">
        <f>$B12*E$3/$B$3</f>
        <v>210</v>
      </c>
    </row>
    <row r="13" spans="1:5">
      <c r="A13" t="s">
        <v>53</v>
      </c>
      <c r="B13">
        <v>75</v>
      </c>
      <c r="C13">
        <f>$B13*C$2/$B$2</f>
        <v>45</v>
      </c>
      <c r="D13">
        <f>$B13*D$2/$B$2</f>
        <v>30</v>
      </c>
      <c r="E13" s="2">
        <f>$B13*E$2/$B$2</f>
        <v>30</v>
      </c>
    </row>
    <row r="14" spans="1:5">
      <c r="A14" t="s">
        <v>54</v>
      </c>
      <c r="B14">
        <v>100</v>
      </c>
      <c r="C14">
        <f>$B14*C$3/$B$3</f>
        <v>62.5</v>
      </c>
      <c r="D14">
        <f>$B14*D$3/$B$3</f>
        <v>37.5</v>
      </c>
      <c r="E14" s="2">
        <f>$B14*E$3/$B$3</f>
        <v>37.5</v>
      </c>
    </row>
    <row r="15" spans="1:5">
      <c r="A15" t="s">
        <v>55</v>
      </c>
      <c r="B15">
        <v>625</v>
      </c>
      <c r="C15">
        <f>$B15*C$2/$B$2</f>
        <v>375</v>
      </c>
      <c r="D15">
        <f>$B15*D$2/$B$2</f>
        <v>250</v>
      </c>
      <c r="E15" s="2">
        <f>$B15*E$2/$B$2</f>
        <v>250</v>
      </c>
    </row>
    <row r="16" spans="1:5" ht="17" thickBot="1">
      <c r="A16" s="7" t="s">
        <v>56</v>
      </c>
      <c r="B16" s="7">
        <v>400</v>
      </c>
      <c r="C16" s="7">
        <f>$B16*C$3/$B$3</f>
        <v>250</v>
      </c>
      <c r="D16" s="7">
        <f>$B16*D$3/$B$3</f>
        <v>150</v>
      </c>
      <c r="E16" s="10">
        <f>$B16*E$3/$B$3</f>
        <v>150</v>
      </c>
    </row>
    <row r="17" spans="1:5" ht="17" thickBot="1">
      <c r="A17" s="8" t="s">
        <v>59</v>
      </c>
      <c r="B17" s="9">
        <f>SUM(B6:B16)</f>
        <v>8030</v>
      </c>
      <c r="C17" s="9">
        <f t="shared" ref="C17:E17" si="1">SUM(C6:C16)</f>
        <v>4865</v>
      </c>
      <c r="D17" s="9">
        <f t="shared" si="1"/>
        <v>3165</v>
      </c>
      <c r="E17" s="11">
        <f t="shared" si="1"/>
        <v>3178.1802721088434</v>
      </c>
    </row>
    <row r="18" spans="1:5">
      <c r="A18" t="s">
        <v>57</v>
      </c>
      <c r="B18">
        <f>B5-SUM(B6:B16)</f>
        <v>170</v>
      </c>
      <c r="C18">
        <f>C5-SUM(C6:C16)</f>
        <v>385</v>
      </c>
      <c r="D18">
        <f>D5-SUM(D6:D16)</f>
        <v>-215</v>
      </c>
      <c r="E18" s="2">
        <f>E5-SUM(E6:E16)</f>
        <v>-228.18027210884338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BC352-2546-EF49-B250-6AD6C06A4201}">
  <dimension ref="A1:I24"/>
  <sheetViews>
    <sheetView workbookViewId="0">
      <selection activeCell="H23" sqref="H23"/>
    </sheetView>
  </sheetViews>
  <sheetFormatPr baseColWidth="10" defaultRowHeight="16"/>
  <cols>
    <col min="1" max="1" width="27.33203125" customWidth="1"/>
    <col min="3" max="3" width="17.33203125" customWidth="1"/>
    <col min="6" max="6" width="22.83203125" customWidth="1"/>
  </cols>
  <sheetData>
    <row r="1" spans="1:9">
      <c r="B1" t="s">
        <v>71</v>
      </c>
      <c r="C1" t="s">
        <v>72</v>
      </c>
      <c r="D1" t="s">
        <v>73</v>
      </c>
    </row>
    <row r="2" spans="1:9">
      <c r="A2" t="s">
        <v>61</v>
      </c>
      <c r="B2">
        <v>2500</v>
      </c>
    </row>
    <row r="3" spans="1:9">
      <c r="A3" t="s">
        <v>62</v>
      </c>
      <c r="B3">
        <v>250</v>
      </c>
      <c r="C3">
        <f>B2</f>
        <v>2500</v>
      </c>
      <c r="D3" s="12">
        <f>B3/C3</f>
        <v>0.1</v>
      </c>
    </row>
    <row r="4" spans="1:9">
      <c r="A4" t="s">
        <v>63</v>
      </c>
      <c r="B4">
        <v>1000</v>
      </c>
    </row>
    <row r="5" spans="1:9">
      <c r="A5" t="s">
        <v>64</v>
      </c>
      <c r="B5">
        <v>750</v>
      </c>
    </row>
    <row r="6" spans="1:9">
      <c r="A6" t="s">
        <v>65</v>
      </c>
      <c r="B6">
        <v>1250</v>
      </c>
    </row>
    <row r="7" spans="1:9">
      <c r="A7" t="s">
        <v>66</v>
      </c>
      <c r="B7">
        <v>500</v>
      </c>
      <c r="C7">
        <f>B4</f>
        <v>1000</v>
      </c>
      <c r="D7" s="12">
        <f>B7/C7</f>
        <v>0.5</v>
      </c>
    </row>
    <row r="8" spans="1:9">
      <c r="A8" t="s">
        <v>67</v>
      </c>
      <c r="B8">
        <v>525</v>
      </c>
      <c r="C8">
        <v>10000</v>
      </c>
      <c r="D8">
        <f>B8*1000/C8</f>
        <v>52.5</v>
      </c>
      <c r="E8" t="s">
        <v>82</v>
      </c>
    </row>
    <row r="9" spans="1:9">
      <c r="A9" t="s">
        <v>68</v>
      </c>
      <c r="B9">
        <v>750</v>
      </c>
      <c r="C9">
        <v>2500</v>
      </c>
      <c r="D9">
        <f>B9*1000/C9</f>
        <v>300</v>
      </c>
      <c r="E9" t="s">
        <v>83</v>
      </c>
    </row>
    <row r="10" spans="1:9">
      <c r="A10" t="s">
        <v>69</v>
      </c>
      <c r="B10">
        <v>1128.75</v>
      </c>
      <c r="C10">
        <f>B2+SUM(B4:B6)</f>
        <v>5500</v>
      </c>
      <c r="D10" s="12">
        <f t="shared" ref="D10:D12" si="0">B10/C10</f>
        <v>0.20522727272727273</v>
      </c>
    </row>
    <row r="11" spans="1:9">
      <c r="A11" t="s">
        <v>70</v>
      </c>
      <c r="B11">
        <v>1505</v>
      </c>
      <c r="C11">
        <f>B2+SUM(B4:B6)</f>
        <v>5500</v>
      </c>
      <c r="D11" s="12">
        <f t="shared" si="0"/>
        <v>0.27363636363636362</v>
      </c>
    </row>
    <row r="12" spans="1:9">
      <c r="D12" s="12"/>
    </row>
    <row r="14" spans="1:9">
      <c r="A14" t="s">
        <v>85</v>
      </c>
      <c r="B14" t="s">
        <v>81</v>
      </c>
      <c r="C14" t="s">
        <v>80</v>
      </c>
      <c r="D14" t="s">
        <v>79</v>
      </c>
      <c r="F14" t="s">
        <v>86</v>
      </c>
      <c r="G14" t="s">
        <v>81</v>
      </c>
      <c r="H14" t="s">
        <v>80</v>
      </c>
      <c r="I14" t="s">
        <v>79</v>
      </c>
    </row>
    <row r="15" spans="1:9">
      <c r="A15" t="s">
        <v>61</v>
      </c>
      <c r="B15" s="6">
        <v>1200</v>
      </c>
      <c r="C15" s="6">
        <f>B15*(1+$D$3)</f>
        <v>1320</v>
      </c>
      <c r="D15" s="6">
        <f>C15*1.1</f>
        <v>1452.0000000000002</v>
      </c>
      <c r="F15" t="s">
        <v>61</v>
      </c>
      <c r="G15" s="6">
        <v>3000</v>
      </c>
      <c r="H15" s="6">
        <f>G15*(1+$D$3)</f>
        <v>3300.0000000000005</v>
      </c>
      <c r="I15" s="6">
        <f>H15*1.1</f>
        <v>3630.0000000000009</v>
      </c>
    </row>
    <row r="16" spans="1:9">
      <c r="A16" t="s">
        <v>74</v>
      </c>
      <c r="B16" s="6">
        <v>600</v>
      </c>
      <c r="C16" s="6">
        <f>B16*(1+$D$7)</f>
        <v>900</v>
      </c>
      <c r="D16" s="6">
        <f t="shared" ref="D16:D22" si="1">C16*1.1</f>
        <v>990.00000000000011</v>
      </c>
      <c r="F16" t="s">
        <v>74</v>
      </c>
      <c r="G16" s="6">
        <v>500</v>
      </c>
      <c r="H16" s="6">
        <f>G16*(1+$D$7)</f>
        <v>750</v>
      </c>
      <c r="I16" s="6">
        <f t="shared" ref="I16:I22" si="2">H16*1.1</f>
        <v>825.00000000000011</v>
      </c>
    </row>
    <row r="17" spans="1:9">
      <c r="A17" t="s">
        <v>76</v>
      </c>
      <c r="B17" s="6">
        <v>540</v>
      </c>
      <c r="C17" s="6">
        <f>B17</f>
        <v>540</v>
      </c>
      <c r="D17" s="6">
        <f t="shared" si="1"/>
        <v>594</v>
      </c>
      <c r="F17" t="s">
        <v>76</v>
      </c>
      <c r="G17" s="6">
        <v>60</v>
      </c>
      <c r="H17" s="6">
        <f>G17</f>
        <v>60</v>
      </c>
      <c r="I17" s="6">
        <f t="shared" si="2"/>
        <v>66</v>
      </c>
    </row>
    <row r="18" spans="1:9">
      <c r="A18" t="s">
        <v>75</v>
      </c>
      <c r="B18" s="6">
        <v>720</v>
      </c>
      <c r="C18" s="6">
        <f>B18</f>
        <v>720</v>
      </c>
      <c r="D18" s="6">
        <f t="shared" si="1"/>
        <v>792.00000000000011</v>
      </c>
      <c r="F18" t="s">
        <v>75</v>
      </c>
      <c r="G18" s="6">
        <v>1250</v>
      </c>
      <c r="H18" s="6">
        <f>G18</f>
        <v>1250</v>
      </c>
      <c r="I18" s="6">
        <f t="shared" si="2"/>
        <v>1375</v>
      </c>
    </row>
    <row r="19" spans="1:9">
      <c r="A19" t="s">
        <v>77</v>
      </c>
      <c r="B19" s="6">
        <v>6</v>
      </c>
      <c r="C19" s="6">
        <f>B19*$D$8</f>
        <v>315</v>
      </c>
      <c r="D19" s="6">
        <f t="shared" si="1"/>
        <v>346.5</v>
      </c>
      <c r="F19" t="s">
        <v>77</v>
      </c>
      <c r="G19" s="6">
        <v>8</v>
      </c>
      <c r="H19" s="6">
        <f>G19*$D$8</f>
        <v>420</v>
      </c>
      <c r="I19" s="6">
        <f t="shared" si="2"/>
        <v>462.00000000000006</v>
      </c>
    </row>
    <row r="20" spans="1:9">
      <c r="A20" t="s">
        <v>78</v>
      </c>
      <c r="B20" s="6">
        <v>1.5</v>
      </c>
      <c r="C20" s="6">
        <f>B20*$D$9</f>
        <v>450</v>
      </c>
      <c r="D20" s="6">
        <f t="shared" si="1"/>
        <v>495.00000000000006</v>
      </c>
      <c r="F20" t="s">
        <v>78</v>
      </c>
      <c r="G20" s="6">
        <v>2.5</v>
      </c>
      <c r="H20" s="6">
        <f>G20*$D$9</f>
        <v>750</v>
      </c>
      <c r="I20" s="6">
        <f t="shared" si="2"/>
        <v>825.00000000000011</v>
      </c>
    </row>
    <row r="21" spans="1:9">
      <c r="A21" t="s">
        <v>84</v>
      </c>
      <c r="B21" s="6"/>
      <c r="C21" s="6">
        <f>$D$10*SUM(B15:B18)</f>
        <v>627.99545454545455</v>
      </c>
      <c r="D21" s="6">
        <f t="shared" si="1"/>
        <v>690.79500000000007</v>
      </c>
      <c r="F21" t="s">
        <v>84</v>
      </c>
      <c r="G21" s="6"/>
      <c r="H21" s="6">
        <f>$D$10*SUM(G15:G18)</f>
        <v>987.1431818181818</v>
      </c>
      <c r="I21" s="6">
        <f t="shared" si="2"/>
        <v>1085.8575000000001</v>
      </c>
    </row>
    <row r="22" spans="1:9">
      <c r="A22" t="s">
        <v>70</v>
      </c>
      <c r="B22" s="6"/>
      <c r="C22" s="6">
        <f>$D$11*SUM(B15:B18)</f>
        <v>837.32727272727266</v>
      </c>
      <c r="D22" s="6">
        <f t="shared" si="1"/>
        <v>921.06</v>
      </c>
      <c r="F22" t="s">
        <v>70</v>
      </c>
      <c r="G22" s="6"/>
      <c r="H22" s="6">
        <f>$D$11*SUM(G15:G18)</f>
        <v>1316.1909090909089</v>
      </c>
      <c r="I22" s="6">
        <f t="shared" si="2"/>
        <v>1447.81</v>
      </c>
    </row>
    <row r="23" spans="1:9">
      <c r="B23" s="6"/>
      <c r="C23" s="6"/>
      <c r="D23" s="6"/>
      <c r="G23" s="6"/>
      <c r="H23" s="6">
        <f>H21+H22</f>
        <v>2303.3340909090907</v>
      </c>
      <c r="I23" s="6"/>
    </row>
    <row r="24" spans="1:9">
      <c r="A24" t="s">
        <v>14</v>
      </c>
      <c r="B24" s="6">
        <f>SUM(B15:B22)</f>
        <v>3067.5</v>
      </c>
      <c r="C24" s="6">
        <f t="shared" ref="C24:D24" si="3">SUM(C15:C22)</f>
        <v>5710.3227272727272</v>
      </c>
      <c r="D24" s="6">
        <f t="shared" si="3"/>
        <v>6281.3549999999996</v>
      </c>
      <c r="F24" t="s">
        <v>14</v>
      </c>
      <c r="G24" s="6">
        <f>SUM(G15:G22)</f>
        <v>4820.5</v>
      </c>
      <c r="H24" s="6">
        <f t="shared" ref="H24:I24" si="4">SUM(H15:H22)</f>
        <v>8833.3340909090912</v>
      </c>
      <c r="I24" s="6">
        <f t="shared" si="4"/>
        <v>9716.6675000000014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Optimal_sammensetning</vt:lpstr>
      <vt:lpstr>oppg5</vt:lpstr>
      <vt:lpstr>NNV</vt:lpstr>
      <vt:lpstr>Lån</vt:lpstr>
      <vt:lpstr>Oppg1</vt:lpstr>
      <vt:lpstr>Oppg2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2020-12-08T12:50:31Z</dcterms:created>
  <dcterms:modified xsi:type="dcterms:W3CDTF">2020-12-09T18:57:48Z</dcterms:modified>
</cp:coreProperties>
</file>